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Desktop\GTA\Parque de la Familia Final\Hidrosanitario\Memorias\"/>
    </mc:Choice>
  </mc:AlternateContent>
  <xr:revisionPtr revIDLastSave="0" documentId="13_ncr:1_{AAE82CE9-A095-453F-B68F-13134BC021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ajantes" sheetId="1" r:id="rId1"/>
    <sheet name="Col" sheetId="7" r:id="rId2"/>
    <sheet name="Colectores" sheetId="2" state="hidden" r:id="rId3"/>
    <sheet name="Car" sheetId="8" r:id="rId4"/>
    <sheet name="Carcamo" sheetId="5" state="hidden" r:id="rId5"/>
    <sheet name="C P" sheetId="9" r:id="rId6"/>
    <sheet name="C Principal" sheetId="6" state="hidden" r:id="rId7"/>
  </sheets>
  <definedNames>
    <definedName name="_Hlk182653042" localSheetId="0">Bajantes!#REF!</definedName>
    <definedName name="_Hlk182653042" localSheetId="5">'C P'!$J$8</definedName>
    <definedName name="_Hlk182653042" localSheetId="6">'C Principal'!$J$8</definedName>
    <definedName name="_Hlk182653042" localSheetId="3">Car!$J$8</definedName>
    <definedName name="_Hlk182653042" localSheetId="4">Carcamo!$J$8</definedName>
    <definedName name="_Hlk182653042" localSheetId="1">Col!$J$8</definedName>
    <definedName name="_Hlk182653042" localSheetId="2">Colectores!$J$8</definedName>
    <definedName name="_Hlk182653738" localSheetId="0">Bajantes!#REF!</definedName>
    <definedName name="_Hlk182653738" localSheetId="5">'C P'!$G$20</definedName>
    <definedName name="_Hlk182653738" localSheetId="6">'C Principal'!$G$20</definedName>
    <definedName name="_Hlk182653738" localSheetId="3">Car!$G$20</definedName>
    <definedName name="_Hlk182653738" localSheetId="4">Carcamo!$G$20</definedName>
    <definedName name="_Hlk182653738" localSheetId="1">Col!$G$20</definedName>
    <definedName name="_Hlk182653738" localSheetId="2">Colectores!$G$20</definedName>
    <definedName name="_Hlk182654151" localSheetId="0">Bajantes!#REF!</definedName>
    <definedName name="_Hlk182654151" localSheetId="5">'C P'!$B$18</definedName>
    <definedName name="_Hlk182654151" localSheetId="6">'C Principal'!$B$18</definedName>
    <definedName name="_Hlk182654151" localSheetId="3">Car!$B$18</definedName>
    <definedName name="_Hlk182654151" localSheetId="4">Carcamo!$B$18</definedName>
    <definedName name="_Hlk182654151" localSheetId="1">Col!$B$18</definedName>
    <definedName name="_Hlk182654151" localSheetId="2">Colectores!$B$18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O9" i="1"/>
  <c r="M9" i="1"/>
  <c r="P6" i="1" l="1"/>
  <c r="P5" i="1"/>
  <c r="P4" i="1"/>
  <c r="M11" i="1"/>
  <c r="M12" i="1"/>
  <c r="J12" i="1"/>
  <c r="H12" i="1"/>
  <c r="J11" i="1"/>
  <c r="H11" i="1"/>
  <c r="M7" i="1"/>
  <c r="J7" i="1"/>
  <c r="H7" i="1"/>
  <c r="H10" i="1"/>
  <c r="J10" i="1"/>
  <c r="J9" i="1"/>
  <c r="H9" i="1"/>
  <c r="J8" i="1"/>
  <c r="H8" i="1"/>
  <c r="M8" i="1"/>
  <c r="K11" i="1" l="1"/>
  <c r="K9" i="1"/>
  <c r="L9" i="1" s="1"/>
  <c r="P9" i="1" s="1"/>
  <c r="K12" i="1"/>
  <c r="L12" i="1" s="1"/>
  <c r="O12" i="1" s="1"/>
  <c r="P12" i="1" s="1"/>
  <c r="K7" i="1"/>
  <c r="L7" i="1" s="1"/>
  <c r="O7" i="1" s="1"/>
  <c r="P7" i="1" s="1"/>
  <c r="K8" i="1"/>
  <c r="L8" i="1" s="1"/>
  <c r="O8" i="1" s="1"/>
  <c r="P8" i="1" s="1"/>
  <c r="K10" i="1"/>
  <c r="L10" i="1" s="1"/>
  <c r="O10" i="1" s="1"/>
  <c r="P10" i="1" s="1"/>
  <c r="M6" i="1"/>
  <c r="J6" i="1"/>
  <c r="H6" i="1"/>
  <c r="H4" i="1"/>
  <c r="J4" i="1"/>
  <c r="M4" i="1"/>
  <c r="H5" i="1"/>
  <c r="J5" i="1"/>
  <c r="M5" i="1"/>
  <c r="N28" i="9"/>
  <c r="N35" i="9"/>
  <c r="N25" i="9"/>
  <c r="C25" i="9"/>
  <c r="N18" i="9"/>
  <c r="C18" i="9"/>
  <c r="C20" i="9" s="1"/>
  <c r="C22" i="9" s="1"/>
  <c r="C23" i="9" s="1"/>
  <c r="C28" i="9" s="1"/>
  <c r="N14" i="9"/>
  <c r="N20" i="9" s="1"/>
  <c r="N22" i="9" s="1"/>
  <c r="C14" i="9"/>
  <c r="N40" i="8"/>
  <c r="N25" i="8"/>
  <c r="C25" i="8"/>
  <c r="N18" i="8"/>
  <c r="C18" i="8"/>
  <c r="C20" i="8" s="1"/>
  <c r="C22" i="8" s="1"/>
  <c r="C23" i="8" s="1"/>
  <c r="C28" i="8" s="1"/>
  <c r="N14" i="8"/>
  <c r="C14" i="8"/>
  <c r="C27" i="2"/>
  <c r="N25" i="7"/>
  <c r="N14" i="7"/>
  <c r="C25" i="7"/>
  <c r="N18" i="7"/>
  <c r="C18" i="7"/>
  <c r="C14" i="7"/>
  <c r="C25" i="6"/>
  <c r="C18" i="6"/>
  <c r="C14" i="6"/>
  <c r="C42" i="5"/>
  <c r="L11" i="1" l="1"/>
  <c r="O11" i="1" s="1"/>
  <c r="P11" i="1" s="1"/>
  <c r="Q9" i="1"/>
  <c r="K6" i="1"/>
  <c r="L6" i="1" s="1"/>
  <c r="K4" i="1"/>
  <c r="L4" i="1" s="1"/>
  <c r="O4" i="1" s="1"/>
  <c r="K5" i="1"/>
  <c r="L5" i="1" s="1"/>
  <c r="O5" i="1" s="1"/>
  <c r="O6" i="1"/>
  <c r="Q6" i="1" s="1"/>
  <c r="N27" i="9"/>
  <c r="N23" i="9"/>
  <c r="C35" i="9"/>
  <c r="C36" i="9" s="1"/>
  <c r="C33" i="9"/>
  <c r="N20" i="8"/>
  <c r="N22" i="8" s="1"/>
  <c r="N23" i="8" s="1"/>
  <c r="C35" i="8"/>
  <c r="C36" i="8" s="1"/>
  <c r="C33" i="8"/>
  <c r="C20" i="7"/>
  <c r="C22" i="7" s="1"/>
  <c r="C23" i="7" s="1"/>
  <c r="C28" i="7" s="1"/>
  <c r="N20" i="7"/>
  <c r="N22" i="7" s="1"/>
  <c r="N27" i="7" s="1"/>
  <c r="C33" i="7"/>
  <c r="C35" i="7"/>
  <c r="C36" i="7" s="1"/>
  <c r="C20" i="6"/>
  <c r="C22" i="6" s="1"/>
  <c r="C38" i="5"/>
  <c r="N36" i="9" l="1"/>
  <c r="N33" i="9"/>
  <c r="N27" i="8"/>
  <c r="N28" i="8"/>
  <c r="N28" i="7"/>
  <c r="N35" i="7" s="1"/>
  <c r="N23" i="7"/>
  <c r="N33" i="8"/>
  <c r="N35" i="8"/>
  <c r="N33" i="7"/>
  <c r="N36" i="7"/>
  <c r="C23" i="6"/>
  <c r="C27" i="6" s="1"/>
  <c r="C34" i="6" s="1"/>
  <c r="C35" i="6" s="1"/>
  <c r="C32" i="6"/>
  <c r="C22" i="5"/>
  <c r="C25" i="5"/>
  <c r="C18" i="5"/>
  <c r="C14" i="5"/>
  <c r="C25" i="2"/>
  <c r="C18" i="2"/>
  <c r="C14" i="2"/>
  <c r="N36" i="8" l="1"/>
  <c r="N44" i="8"/>
  <c r="C20" i="5"/>
  <c r="C23" i="5" s="1"/>
  <c r="C20" i="2"/>
  <c r="C22" i="2" l="1"/>
  <c r="C23" i="2" s="1"/>
  <c r="C27" i="5"/>
  <c r="C34" i="2" l="1"/>
  <c r="C35" i="2" s="1"/>
  <c r="C32" i="2"/>
  <c r="C31" i="5"/>
  <c r="C33" i="5"/>
  <c r="C34" i="5" s="1"/>
</calcChain>
</file>

<file path=xl/sharedStrings.xml><?xml version="1.0" encoding="utf-8"?>
<sst xmlns="http://schemas.openxmlformats.org/spreadsheetml/2006/main" count="283" uniqueCount="47">
  <si>
    <t>Q</t>
  </si>
  <si>
    <t>C</t>
  </si>
  <si>
    <t>i</t>
  </si>
  <si>
    <t>A</t>
  </si>
  <si>
    <t>L</t>
  </si>
  <si>
    <t>s</t>
  </si>
  <si>
    <t>S</t>
  </si>
  <si>
    <t>Te</t>
  </si>
  <si>
    <t>m</t>
  </si>
  <si>
    <t>Tt</t>
  </si>
  <si>
    <t>v</t>
  </si>
  <si>
    <t>TC</t>
  </si>
  <si>
    <t>mm/h</t>
  </si>
  <si>
    <t>lt/he</t>
  </si>
  <si>
    <t>m3/s</t>
  </si>
  <si>
    <t>n</t>
  </si>
  <si>
    <t>D</t>
  </si>
  <si>
    <t>in</t>
  </si>
  <si>
    <t>ha</t>
  </si>
  <si>
    <t>min</t>
  </si>
  <si>
    <t>m/s</t>
  </si>
  <si>
    <t>Convertimos el área en sección cuadrada.</t>
  </si>
  <si>
    <t>h</t>
  </si>
  <si>
    <t>b</t>
  </si>
  <si>
    <t>cm</t>
  </si>
  <si>
    <t>L/s</t>
  </si>
  <si>
    <t>RED DE AGUA LLUVIA</t>
  </si>
  <si>
    <t>Coeficiente de escorrentia</t>
  </si>
  <si>
    <t>Longitud 
(m)</t>
  </si>
  <si>
    <t>Pendiente</t>
  </si>
  <si>
    <t>Tiempo de entrada 
(min)</t>
  </si>
  <si>
    <t>Vel
(m/s)</t>
  </si>
  <si>
    <t>Tiempo de Recorrido
(min)</t>
  </si>
  <si>
    <t>Tiempo de concentracion
(min)</t>
  </si>
  <si>
    <t>Area
(ha)</t>
  </si>
  <si>
    <t>Caudal de Diseño
(m3/s)</t>
  </si>
  <si>
    <t>Diámetro de tubería
(in)</t>
  </si>
  <si>
    <t>Bajantes de Agua lluvia</t>
  </si>
  <si>
    <t xml:space="preserve">Colector </t>
  </si>
  <si>
    <t>Carcamo 40x40</t>
  </si>
  <si>
    <t>Colector Principal</t>
  </si>
  <si>
    <t>Cubierta</t>
  </si>
  <si>
    <t>Cancha</t>
  </si>
  <si>
    <t>Punto de Descarga 1 y 2</t>
  </si>
  <si>
    <t>Punto de Descarga 3</t>
  </si>
  <si>
    <t>Punto de Descarga 4</t>
  </si>
  <si>
    <t>Intensidad de precipitacion
(mm/h)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</si>
</sst>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textRotation="90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350520</xdr:colOff>
      <xdr:row>27</xdr:row>
      <xdr:rowOff>15240</xdr:rowOff>
    </xdr:from>
    <xdr:to>
      <xdr:col>7</xdr:col>
      <xdr:colOff>502920</xdr:colOff>
      <xdr:row>28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BD2F428-AC84-4A3E-B5FA-5FEC3BA4C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8520" y="4953000"/>
          <a:ext cx="1371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12</xdr:row>
      <xdr:rowOff>0</xdr:rowOff>
    </xdr:from>
    <xdr:to>
      <xdr:col>6</xdr:col>
      <xdr:colOff>251460</xdr:colOff>
      <xdr:row>14</xdr:row>
      <xdr:rowOff>175260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559B870-A67D-4668-8461-86D9914B9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194560"/>
          <a:ext cx="135636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236220</xdr:colOff>
      <xdr:row>16</xdr:row>
      <xdr:rowOff>114300</xdr:rowOff>
    </xdr:from>
    <xdr:to>
      <xdr:col>5</xdr:col>
      <xdr:colOff>541020</xdr:colOff>
      <xdr:row>18</xdr:row>
      <xdr:rowOff>144780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B75E983-43ED-45CA-A53F-4DECEC0F0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4620" y="3040380"/>
          <a:ext cx="91440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304800</xdr:colOff>
      <xdr:row>18</xdr:row>
      <xdr:rowOff>175260</xdr:rowOff>
    </xdr:from>
    <xdr:to>
      <xdr:col>7</xdr:col>
      <xdr:colOff>586740</xdr:colOff>
      <xdr:row>20</xdr:row>
      <xdr:rowOff>15240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B4F931D-F428-401E-8FAE-954E75B06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3467100"/>
          <a:ext cx="8915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403860</xdr:colOff>
      <xdr:row>33</xdr:row>
      <xdr:rowOff>22860</xdr:rowOff>
    </xdr:from>
    <xdr:to>
      <xdr:col>8</xdr:col>
      <xdr:colOff>137160</xdr:colOff>
      <xdr:row>35</xdr:row>
      <xdr:rowOff>76200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61A915C-F0B2-4680-90ED-82DD5DF52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860" y="6057900"/>
          <a:ext cx="15621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586741</xdr:colOff>
      <xdr:row>12</xdr:row>
      <xdr:rowOff>155464</xdr:rowOff>
    </xdr:from>
    <xdr:to>
      <xdr:col>18</xdr:col>
      <xdr:colOff>510541</xdr:colOff>
      <xdr:row>14</xdr:row>
      <xdr:rowOff>173443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60594160-71AD-490A-AC6C-2C98FCF58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730741" y="2350024"/>
          <a:ext cx="1752600" cy="383739"/>
        </a:xfrm>
        <a:prstGeom prst="rect">
          <a:avLst/>
        </a:prstGeom>
      </xdr:spPr>
    </xdr:pic>
    <xdr:clientData/>
  </xdr:twoCellAnchor>
  <xdr:twoCellAnchor>
    <xdr:from>
      <xdr:col>6</xdr:col>
      <xdr:colOff>167640</xdr:colOff>
      <xdr:row>22</xdr:row>
      <xdr:rowOff>0</xdr:rowOff>
    </xdr:from>
    <xdr:to>
      <xdr:col>8</xdr:col>
      <xdr:colOff>381000</xdr:colOff>
      <xdr:row>24</xdr:row>
      <xdr:rowOff>30480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48656078-D18A-91C1-DB80-9B2C8D27C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5240" y="4023360"/>
          <a:ext cx="143256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388620</xdr:colOff>
      <xdr:row>25</xdr:row>
      <xdr:rowOff>7620</xdr:rowOff>
    </xdr:from>
    <xdr:to>
      <xdr:col>7</xdr:col>
      <xdr:colOff>541020</xdr:colOff>
      <xdr:row>26</xdr:row>
      <xdr:rowOff>30480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BAED80-BFC6-496F-B43F-D1CE8E2BD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620" y="4579620"/>
          <a:ext cx="1371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12</xdr:row>
      <xdr:rowOff>0</xdr:rowOff>
    </xdr:from>
    <xdr:to>
      <xdr:col>6</xdr:col>
      <xdr:colOff>251460</xdr:colOff>
      <xdr:row>14</xdr:row>
      <xdr:rowOff>175260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64B42C3-F8E8-4F3F-8866-D367E181B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194560"/>
          <a:ext cx="135636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236220</xdr:colOff>
      <xdr:row>16</xdr:row>
      <xdr:rowOff>114300</xdr:rowOff>
    </xdr:from>
    <xdr:to>
      <xdr:col>5</xdr:col>
      <xdr:colOff>541020</xdr:colOff>
      <xdr:row>18</xdr:row>
      <xdr:rowOff>144780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5CCC4B1-85D3-4129-A7B4-B7DDB9909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4620" y="3040380"/>
          <a:ext cx="91440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304800</xdr:colOff>
      <xdr:row>18</xdr:row>
      <xdr:rowOff>175260</xdr:rowOff>
    </xdr:from>
    <xdr:to>
      <xdr:col>7</xdr:col>
      <xdr:colOff>586740</xdr:colOff>
      <xdr:row>20</xdr:row>
      <xdr:rowOff>15240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613990-C240-4805-8E33-DD97BA2CB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3467100"/>
          <a:ext cx="8915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342900</xdr:colOff>
      <xdr:row>29</xdr:row>
      <xdr:rowOff>30480</xdr:rowOff>
    </xdr:from>
    <xdr:to>
      <xdr:col>8</xdr:col>
      <xdr:colOff>76200</xdr:colOff>
      <xdr:row>31</xdr:row>
      <xdr:rowOff>91440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B4694BF-F60D-499A-91B8-11A288D46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5326380"/>
          <a:ext cx="15621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350520</xdr:colOff>
      <xdr:row>27</xdr:row>
      <xdr:rowOff>15240</xdr:rowOff>
    </xdr:from>
    <xdr:to>
      <xdr:col>7</xdr:col>
      <xdr:colOff>502920</xdr:colOff>
      <xdr:row>28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1693C6-106E-4A6E-BCDE-867785D21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8520" y="4953000"/>
          <a:ext cx="1371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12</xdr:row>
      <xdr:rowOff>0</xdr:rowOff>
    </xdr:from>
    <xdr:to>
      <xdr:col>6</xdr:col>
      <xdr:colOff>251460</xdr:colOff>
      <xdr:row>14</xdr:row>
      <xdr:rowOff>175260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040EB4A-EDE0-4566-A2FB-F58BC8524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194560"/>
          <a:ext cx="135636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236220</xdr:colOff>
      <xdr:row>16</xdr:row>
      <xdr:rowOff>114300</xdr:rowOff>
    </xdr:from>
    <xdr:to>
      <xdr:col>5</xdr:col>
      <xdr:colOff>541020</xdr:colOff>
      <xdr:row>18</xdr:row>
      <xdr:rowOff>144780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CAF0B9D-D89B-4CDC-BC82-05CB72D19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4620" y="3040380"/>
          <a:ext cx="91440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304800</xdr:colOff>
      <xdr:row>18</xdr:row>
      <xdr:rowOff>175260</xdr:rowOff>
    </xdr:from>
    <xdr:to>
      <xdr:col>7</xdr:col>
      <xdr:colOff>586740</xdr:colOff>
      <xdr:row>20</xdr:row>
      <xdr:rowOff>15240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5F0D7B4-88EF-4B14-B270-9A42E0D63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3467100"/>
          <a:ext cx="8915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403860</xdr:colOff>
      <xdr:row>33</xdr:row>
      <xdr:rowOff>22860</xdr:rowOff>
    </xdr:from>
    <xdr:to>
      <xdr:col>8</xdr:col>
      <xdr:colOff>137160</xdr:colOff>
      <xdr:row>35</xdr:row>
      <xdr:rowOff>76200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D038700-49A4-4E9C-A3BF-F83409E76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860" y="6057900"/>
          <a:ext cx="15621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586741</xdr:colOff>
      <xdr:row>12</xdr:row>
      <xdr:rowOff>155464</xdr:rowOff>
    </xdr:from>
    <xdr:to>
      <xdr:col>18</xdr:col>
      <xdr:colOff>510541</xdr:colOff>
      <xdr:row>14</xdr:row>
      <xdr:rowOff>173443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DE87DAA-2136-48BC-9D01-7F7DEF997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730741" y="2350024"/>
          <a:ext cx="1752600" cy="383739"/>
        </a:xfrm>
        <a:prstGeom prst="rect">
          <a:avLst/>
        </a:prstGeom>
      </xdr:spPr>
    </xdr:pic>
    <xdr:clientData/>
  </xdr:twoCellAnchor>
  <xdr:twoCellAnchor>
    <xdr:from>
      <xdr:col>6</xdr:col>
      <xdr:colOff>167640</xdr:colOff>
      <xdr:row>22</xdr:row>
      <xdr:rowOff>0</xdr:rowOff>
    </xdr:from>
    <xdr:to>
      <xdr:col>8</xdr:col>
      <xdr:colOff>381000</xdr:colOff>
      <xdr:row>24</xdr:row>
      <xdr:rowOff>30480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9C1BCC86-40AE-4B2E-9865-C0C5FE171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5240" y="4023360"/>
          <a:ext cx="143256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388620</xdr:colOff>
      <xdr:row>25</xdr:row>
      <xdr:rowOff>7620</xdr:rowOff>
    </xdr:from>
    <xdr:to>
      <xdr:col>7</xdr:col>
      <xdr:colOff>541020</xdr:colOff>
      <xdr:row>26</xdr:row>
      <xdr:rowOff>30480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83ADA0D-6C59-4DBE-857D-9838D1BCE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620" y="4579620"/>
          <a:ext cx="1371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12</xdr:row>
      <xdr:rowOff>0</xdr:rowOff>
    </xdr:from>
    <xdr:to>
      <xdr:col>6</xdr:col>
      <xdr:colOff>251460</xdr:colOff>
      <xdr:row>14</xdr:row>
      <xdr:rowOff>175260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33E7887-D126-4A4F-8C97-55B0C1A7C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194560"/>
          <a:ext cx="135636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236220</xdr:colOff>
      <xdr:row>16</xdr:row>
      <xdr:rowOff>114300</xdr:rowOff>
    </xdr:from>
    <xdr:to>
      <xdr:col>5</xdr:col>
      <xdr:colOff>541020</xdr:colOff>
      <xdr:row>18</xdr:row>
      <xdr:rowOff>144780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1D8974E-5BA5-4A91-94E0-D8EE2E68F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4620" y="3040380"/>
          <a:ext cx="91440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304800</xdr:colOff>
      <xdr:row>18</xdr:row>
      <xdr:rowOff>175260</xdr:rowOff>
    </xdr:from>
    <xdr:to>
      <xdr:col>7</xdr:col>
      <xdr:colOff>586740</xdr:colOff>
      <xdr:row>20</xdr:row>
      <xdr:rowOff>15240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70AF93A-507B-4757-B88E-A9F0C779F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3467100"/>
          <a:ext cx="8915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167640</xdr:colOff>
      <xdr:row>29</xdr:row>
      <xdr:rowOff>22860</xdr:rowOff>
    </xdr:from>
    <xdr:to>
      <xdr:col>7</xdr:col>
      <xdr:colOff>510540</xdr:colOff>
      <xdr:row>31</xdr:row>
      <xdr:rowOff>76200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BA926C8E-C695-4224-B632-768DFDCCD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5640" y="5326380"/>
          <a:ext cx="15621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350520</xdr:colOff>
      <xdr:row>27</xdr:row>
      <xdr:rowOff>15240</xdr:rowOff>
    </xdr:from>
    <xdr:to>
      <xdr:col>7</xdr:col>
      <xdr:colOff>502920</xdr:colOff>
      <xdr:row>28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B9E564-1696-4718-9B30-ADEC63F48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8520" y="4953000"/>
          <a:ext cx="1371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12</xdr:row>
      <xdr:rowOff>0</xdr:rowOff>
    </xdr:from>
    <xdr:to>
      <xdr:col>6</xdr:col>
      <xdr:colOff>251460</xdr:colOff>
      <xdr:row>14</xdr:row>
      <xdr:rowOff>175260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BCB742-84D9-4ABB-8362-6AC55BDE5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194560"/>
          <a:ext cx="135636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236220</xdr:colOff>
      <xdr:row>16</xdr:row>
      <xdr:rowOff>114300</xdr:rowOff>
    </xdr:from>
    <xdr:to>
      <xdr:col>5</xdr:col>
      <xdr:colOff>541020</xdr:colOff>
      <xdr:row>18</xdr:row>
      <xdr:rowOff>144780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67DA3B7-5254-4901-AE24-BD435F1EFF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4620" y="3040380"/>
          <a:ext cx="91440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304800</xdr:colOff>
      <xdr:row>18</xdr:row>
      <xdr:rowOff>175260</xdr:rowOff>
    </xdr:from>
    <xdr:to>
      <xdr:col>7</xdr:col>
      <xdr:colOff>586740</xdr:colOff>
      <xdr:row>20</xdr:row>
      <xdr:rowOff>15240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51381BC-DA8E-4D52-A5C3-6A1803FAD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3467100"/>
          <a:ext cx="8915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403860</xdr:colOff>
      <xdr:row>33</xdr:row>
      <xdr:rowOff>22860</xdr:rowOff>
    </xdr:from>
    <xdr:to>
      <xdr:col>8</xdr:col>
      <xdr:colOff>137160</xdr:colOff>
      <xdr:row>35</xdr:row>
      <xdr:rowOff>76200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8D036AC-5D31-4A03-B6CA-4413D4585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860" y="6057900"/>
          <a:ext cx="15621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586741</xdr:colOff>
      <xdr:row>12</xdr:row>
      <xdr:rowOff>155464</xdr:rowOff>
    </xdr:from>
    <xdr:to>
      <xdr:col>16</xdr:col>
      <xdr:colOff>1074421</xdr:colOff>
      <xdr:row>14</xdr:row>
      <xdr:rowOff>173443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622EF91E-212B-4548-9AE5-7335A890E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730741" y="2350024"/>
          <a:ext cx="1752600" cy="383739"/>
        </a:xfrm>
        <a:prstGeom prst="rect">
          <a:avLst/>
        </a:prstGeom>
      </xdr:spPr>
    </xdr:pic>
    <xdr:clientData/>
  </xdr:twoCellAnchor>
  <xdr:twoCellAnchor>
    <xdr:from>
      <xdr:col>6</xdr:col>
      <xdr:colOff>167640</xdr:colOff>
      <xdr:row>22</xdr:row>
      <xdr:rowOff>0</xdr:rowOff>
    </xdr:from>
    <xdr:to>
      <xdr:col>8</xdr:col>
      <xdr:colOff>381000</xdr:colOff>
      <xdr:row>24</xdr:row>
      <xdr:rowOff>30480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544CDCA-9E5E-462C-A649-F6968D80F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5240" y="4023360"/>
          <a:ext cx="143256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388620</xdr:colOff>
      <xdr:row>25</xdr:row>
      <xdr:rowOff>7620</xdr:rowOff>
    </xdr:from>
    <xdr:to>
      <xdr:col>7</xdr:col>
      <xdr:colOff>541020</xdr:colOff>
      <xdr:row>26</xdr:row>
      <xdr:rowOff>30480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BDDB71-96E2-4AFD-8111-50CFC2554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620" y="4579620"/>
          <a:ext cx="1371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114300</xdr:colOff>
      <xdr:row>12</xdr:row>
      <xdr:rowOff>0</xdr:rowOff>
    </xdr:from>
    <xdr:to>
      <xdr:col>6</xdr:col>
      <xdr:colOff>251460</xdr:colOff>
      <xdr:row>14</xdr:row>
      <xdr:rowOff>175260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CE6B0E7-5D49-4D79-88F4-EEE72A8FA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194560"/>
          <a:ext cx="135636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236220</xdr:colOff>
      <xdr:row>16</xdr:row>
      <xdr:rowOff>114300</xdr:rowOff>
    </xdr:from>
    <xdr:to>
      <xdr:col>5</xdr:col>
      <xdr:colOff>541020</xdr:colOff>
      <xdr:row>18</xdr:row>
      <xdr:rowOff>144780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2F609CC-D604-4689-A9EE-5641BF714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4620" y="3040380"/>
          <a:ext cx="91440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304800</xdr:colOff>
      <xdr:row>18</xdr:row>
      <xdr:rowOff>175260</xdr:rowOff>
    </xdr:from>
    <xdr:to>
      <xdr:col>7</xdr:col>
      <xdr:colOff>586740</xdr:colOff>
      <xdr:row>20</xdr:row>
      <xdr:rowOff>15240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AC9EC84-0F69-4CA1-AC47-3E2459306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3467100"/>
          <a:ext cx="8915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342900</xdr:colOff>
      <xdr:row>29</xdr:row>
      <xdr:rowOff>30480</xdr:rowOff>
    </xdr:from>
    <xdr:to>
      <xdr:col>8</xdr:col>
      <xdr:colOff>76200</xdr:colOff>
      <xdr:row>31</xdr:row>
      <xdr:rowOff>91440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2D3FDA0-27AF-4129-8E42-2F640ED34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5326380"/>
          <a:ext cx="15621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Q21"/>
  <sheetViews>
    <sheetView tabSelected="1" zoomScale="90" zoomScaleNormal="90" workbookViewId="0">
      <selection activeCell="J18" sqref="J18:J19"/>
    </sheetView>
  </sheetViews>
  <sheetFormatPr baseColWidth="10" defaultColWidth="8.88671875" defaultRowHeight="14.4" x14ac:dyDescent="0.3"/>
  <cols>
    <col min="4" max="4" width="22.6640625" customWidth="1"/>
    <col min="5" max="5" width="16.33203125" customWidth="1"/>
    <col min="6" max="6" width="8.88671875" customWidth="1"/>
    <col min="7" max="7" width="8.88671875" hidden="1" customWidth="1"/>
    <col min="8" max="8" width="16.109375" customWidth="1"/>
    <col min="9" max="9" width="12.6640625" customWidth="1"/>
    <col min="10" max="10" width="16.21875" customWidth="1"/>
    <col min="11" max="11" width="19.33203125" customWidth="1"/>
    <col min="12" max="12" width="15.109375" customWidth="1"/>
    <col min="13" max="14" width="8.88671875" customWidth="1"/>
    <col min="15" max="15" width="15.5546875" customWidth="1"/>
    <col min="16" max="16" width="13.109375" customWidth="1"/>
    <col min="17" max="17" width="11.21875" bestFit="1" customWidth="1"/>
  </cols>
  <sheetData>
    <row r="2" spans="3:17" x14ac:dyDescent="0.3">
      <c r="D2" s="17" t="s">
        <v>26</v>
      </c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9"/>
    </row>
    <row r="3" spans="3:17" ht="43.2" x14ac:dyDescent="0.3">
      <c r="D3" s="4"/>
      <c r="E3" s="5" t="s">
        <v>27</v>
      </c>
      <c r="F3" s="5" t="s">
        <v>28</v>
      </c>
      <c r="G3" s="6" t="s">
        <v>29</v>
      </c>
      <c r="H3" s="5" t="s">
        <v>30</v>
      </c>
      <c r="I3" s="5" t="s">
        <v>31</v>
      </c>
      <c r="J3" s="5" t="s">
        <v>32</v>
      </c>
      <c r="K3" s="5" t="s">
        <v>33</v>
      </c>
      <c r="L3" s="5" t="s">
        <v>46</v>
      </c>
      <c r="M3" s="5" t="s">
        <v>34</v>
      </c>
      <c r="N3" s="5" t="s">
        <v>6</v>
      </c>
      <c r="O3" s="5" t="s">
        <v>35</v>
      </c>
      <c r="P3" s="5" t="s">
        <v>36</v>
      </c>
    </row>
    <row r="4" spans="3:17" x14ac:dyDescent="0.3">
      <c r="C4" s="20" t="s">
        <v>41</v>
      </c>
      <c r="D4" s="4" t="s">
        <v>37</v>
      </c>
      <c r="E4" s="7">
        <v>0.9</v>
      </c>
      <c r="F4" s="7">
        <v>12</v>
      </c>
      <c r="G4" s="16">
        <v>0.27</v>
      </c>
      <c r="H4" s="8">
        <f t="shared" ref="H4:H12" si="0">+(0.707*(1.1-E4)*F4^0.5)/(G4^0.5)</f>
        <v>0.94266666666666665</v>
      </c>
      <c r="I4" s="7">
        <v>5</v>
      </c>
      <c r="J4" s="9">
        <f t="shared" ref="J4:J12" si="1">+F4/(60*I4)</f>
        <v>0.04</v>
      </c>
      <c r="K4" s="8">
        <f t="shared" ref="K4:K12" si="2">+J4+H4</f>
        <v>0.98266666666666669</v>
      </c>
      <c r="L4" s="8">
        <f t="shared" ref="L4:L12" si="3">3483/((16+K4)^0.9946)</f>
        <v>208.25221092417704</v>
      </c>
      <c r="M4" s="7">
        <f>65/10000</f>
        <v>6.4999999999999997E-3</v>
      </c>
      <c r="N4" s="16">
        <v>0.27</v>
      </c>
      <c r="O4" s="9">
        <f t="shared" ref="O4:O12" si="4">2.78*E4*L4*M4/1000</f>
        <v>3.3868057062598905E-3</v>
      </c>
      <c r="P4" s="10">
        <f>1.548*(0.015*O4/(N4^0.5))^((3/8))*39.3701</f>
        <v>1.9110073027182208</v>
      </c>
    </row>
    <row r="5" spans="3:17" x14ac:dyDescent="0.3">
      <c r="C5" s="20"/>
      <c r="D5" s="4" t="s">
        <v>38</v>
      </c>
      <c r="E5" s="7">
        <v>0.9</v>
      </c>
      <c r="F5" s="7">
        <v>10</v>
      </c>
      <c r="G5" s="16">
        <v>0.27</v>
      </c>
      <c r="H5" s="8">
        <f t="shared" si="0"/>
        <v>0.86053299590256116</v>
      </c>
      <c r="I5" s="7">
        <v>5</v>
      </c>
      <c r="J5" s="9">
        <f t="shared" si="1"/>
        <v>3.3333333333333333E-2</v>
      </c>
      <c r="K5" s="8">
        <f t="shared" si="2"/>
        <v>0.89386632923589449</v>
      </c>
      <c r="L5" s="8">
        <f t="shared" si="3"/>
        <v>209.34093414385586</v>
      </c>
      <c r="M5" s="7">
        <f>1486/10000</f>
        <v>0.14860000000000001</v>
      </c>
      <c r="N5" s="16">
        <v>0.02</v>
      </c>
      <c r="O5" s="9">
        <f t="shared" si="4"/>
        <v>7.7832373160070009E-2</v>
      </c>
      <c r="P5" s="10">
        <f>1.548*(0.015*O5/(N5^0.5))^((3/8))*39.3701</f>
        <v>10.0858771603216</v>
      </c>
    </row>
    <row r="6" spans="3:17" x14ac:dyDescent="0.3">
      <c r="C6" s="20"/>
      <c r="D6" s="11" t="s">
        <v>39</v>
      </c>
      <c r="E6" s="7">
        <v>0.9</v>
      </c>
      <c r="F6" s="7">
        <v>85</v>
      </c>
      <c r="G6" s="16">
        <v>0.02</v>
      </c>
      <c r="H6" s="8">
        <f t="shared" si="0"/>
        <v>9.2181522009565473</v>
      </c>
      <c r="I6" s="7">
        <v>5</v>
      </c>
      <c r="J6" s="9">
        <f t="shared" si="1"/>
        <v>0.28333333333333333</v>
      </c>
      <c r="K6" s="8">
        <f t="shared" si="2"/>
        <v>9.5014855342898805</v>
      </c>
      <c r="L6" s="8">
        <f t="shared" si="3"/>
        <v>138.98996577668805</v>
      </c>
      <c r="M6" s="7">
        <f>1380/10000</f>
        <v>0.13800000000000001</v>
      </c>
      <c r="N6" s="16">
        <v>5.0000000000000001E-3</v>
      </c>
      <c r="O6" s="9">
        <f t="shared" si="4"/>
        <v>4.7989899423511742E-2</v>
      </c>
      <c r="P6" s="10">
        <f>1.548*(0.015*O6/(N6^0.5))^((3/8))*39.3701</f>
        <v>10.910534087220066</v>
      </c>
      <c r="Q6" s="2" t="str">
        <f>IF((((PI()*(P6/(2*39.3701))*(P6/(2*39.3701))))/0.4*100)&lt;40,"Cumple","No Cumple")</f>
        <v>Cumple</v>
      </c>
    </row>
    <row r="7" spans="3:17" x14ac:dyDescent="0.3">
      <c r="C7" s="20"/>
      <c r="D7" s="4" t="s">
        <v>40</v>
      </c>
      <c r="E7" s="7">
        <v>0.9</v>
      </c>
      <c r="F7" s="7">
        <v>10</v>
      </c>
      <c r="G7" s="16">
        <v>0.27</v>
      </c>
      <c r="H7" s="8">
        <f t="shared" si="0"/>
        <v>0.86053299590256116</v>
      </c>
      <c r="I7" s="7">
        <v>5</v>
      </c>
      <c r="J7" s="9">
        <f t="shared" si="1"/>
        <v>3.3333333333333333E-2</v>
      </c>
      <c r="K7" s="8">
        <f t="shared" si="2"/>
        <v>0.89386632923589449</v>
      </c>
      <c r="L7" s="8">
        <f t="shared" si="3"/>
        <v>209.34093414385586</v>
      </c>
      <c r="M7" s="7">
        <f>2635/10000</f>
        <v>0.26350000000000001</v>
      </c>
      <c r="N7" s="16">
        <v>0.02</v>
      </c>
      <c r="O7" s="9">
        <f t="shared" si="4"/>
        <v>0.13801366303955886</v>
      </c>
      <c r="P7" s="10">
        <f>1.548*(0.015*O7/(N7^0.5))^((3/8))*39.3701</f>
        <v>12.502571682409213</v>
      </c>
      <c r="Q7" s="2"/>
    </row>
    <row r="8" spans="3:17" hidden="1" x14ac:dyDescent="0.3">
      <c r="C8" s="20"/>
      <c r="D8" s="4" t="s">
        <v>40</v>
      </c>
      <c r="E8" s="7">
        <v>0.9</v>
      </c>
      <c r="F8" s="7">
        <v>10</v>
      </c>
      <c r="G8" s="16">
        <v>0.27</v>
      </c>
      <c r="H8" s="8">
        <f t="shared" si="0"/>
        <v>0.86053299590256116</v>
      </c>
      <c r="I8" s="7">
        <v>5</v>
      </c>
      <c r="J8" s="9">
        <f t="shared" si="1"/>
        <v>3.3333333333333333E-2</v>
      </c>
      <c r="K8" s="8">
        <f t="shared" si="2"/>
        <v>0.89386632923589449</v>
      </c>
      <c r="L8" s="8">
        <f t="shared" si="3"/>
        <v>209.34093414385586</v>
      </c>
      <c r="M8" s="7">
        <f>2635/10000</f>
        <v>0.26350000000000001</v>
      </c>
      <c r="N8" s="16">
        <v>0.02</v>
      </c>
      <c r="O8" s="9">
        <f t="shared" si="4"/>
        <v>0.13801366303955886</v>
      </c>
      <c r="P8" s="10">
        <f t="shared" ref="P8:P12" si="5">1.548*(0.015*O8/(N8^0.5))^((3/8))*39.3701</f>
        <v>12.502571682409213</v>
      </c>
    </row>
    <row r="9" spans="3:17" x14ac:dyDescent="0.3">
      <c r="C9" s="4" t="s">
        <v>42</v>
      </c>
      <c r="D9" s="4" t="s">
        <v>39</v>
      </c>
      <c r="E9" s="7">
        <v>0.9</v>
      </c>
      <c r="F9" s="7">
        <v>25</v>
      </c>
      <c r="G9" s="16">
        <v>5.0000000000000001E-3</v>
      </c>
      <c r="H9" s="8">
        <f t="shared" si="0"/>
        <v>9.9984898859777829</v>
      </c>
      <c r="I9" s="7">
        <v>3</v>
      </c>
      <c r="J9" s="9">
        <f t="shared" si="1"/>
        <v>0.1388888888888889</v>
      </c>
      <c r="K9" s="8">
        <f t="shared" si="2"/>
        <v>10.137378774866672</v>
      </c>
      <c r="L9" s="8">
        <f t="shared" si="3"/>
        <v>135.62653230115146</v>
      </c>
      <c r="M9" s="7">
        <f>4847/10000</f>
        <v>0.48470000000000002</v>
      </c>
      <c r="N9" s="16">
        <v>5.0000000000000001E-3</v>
      </c>
      <c r="O9" s="9">
        <f t="shared" si="4"/>
        <v>0.16447692687633297</v>
      </c>
      <c r="P9" s="10">
        <f t="shared" si="5"/>
        <v>17.316263634322766</v>
      </c>
      <c r="Q9" s="2" t="str">
        <f>IF((((PI()*(P9/(2*39.3701))*(P9/(2*39.3701))))/0.4*100)&lt;40,"Cumple","No Cumple")</f>
        <v>Cumple</v>
      </c>
    </row>
    <row r="10" spans="3:17" x14ac:dyDescent="0.3">
      <c r="D10" s="4" t="s">
        <v>43</v>
      </c>
      <c r="E10" s="7">
        <v>0.9</v>
      </c>
      <c r="F10" s="7">
        <v>25</v>
      </c>
      <c r="G10" s="16">
        <v>0.01</v>
      </c>
      <c r="H10" s="8">
        <f t="shared" si="0"/>
        <v>7.07</v>
      </c>
      <c r="I10" s="7">
        <v>3</v>
      </c>
      <c r="J10" s="9">
        <f t="shared" si="1"/>
        <v>0.1388888888888889</v>
      </c>
      <c r="K10" s="8">
        <f t="shared" si="2"/>
        <v>7.2088888888888896</v>
      </c>
      <c r="L10" s="8">
        <f t="shared" si="3"/>
        <v>152.64186320931304</v>
      </c>
      <c r="M10" s="7">
        <f>4847/20000</f>
        <v>0.24235000000000001</v>
      </c>
      <c r="N10" s="16">
        <v>0.01</v>
      </c>
      <c r="O10" s="9">
        <f t="shared" si="4"/>
        <v>9.2555874383040096E-2</v>
      </c>
      <c r="P10" s="10">
        <f t="shared" si="5"/>
        <v>12.256689716658238</v>
      </c>
    </row>
    <row r="11" spans="3:17" x14ac:dyDescent="0.3">
      <c r="D11" s="4" t="s">
        <v>44</v>
      </c>
      <c r="E11" s="7">
        <v>0.9</v>
      </c>
      <c r="F11" s="7">
        <v>10</v>
      </c>
      <c r="G11" s="16">
        <v>0.01</v>
      </c>
      <c r="H11" s="8">
        <f t="shared" si="0"/>
        <v>4.471460611478089</v>
      </c>
      <c r="I11" s="7">
        <v>5</v>
      </c>
      <c r="J11" s="9">
        <f t="shared" si="1"/>
        <v>3.3333333333333333E-2</v>
      </c>
      <c r="K11" s="8">
        <f t="shared" si="2"/>
        <v>4.5047939448114223</v>
      </c>
      <c r="L11" s="8">
        <f>3483/((16+K11)^0.9946)</f>
        <v>172.65616264297708</v>
      </c>
      <c r="M11" s="7">
        <f>1832/10000</f>
        <v>0.1832</v>
      </c>
      <c r="N11" s="16">
        <v>0.01</v>
      </c>
      <c r="O11" s="9">
        <f t="shared" si="4"/>
        <v>7.9139783708475894E-2</v>
      </c>
      <c r="P11" s="10">
        <f t="shared" si="5"/>
        <v>11.55765611852593</v>
      </c>
    </row>
    <row r="12" spans="3:17" x14ac:dyDescent="0.3">
      <c r="D12" s="4" t="s">
        <v>45</v>
      </c>
      <c r="E12" s="7">
        <v>0.9</v>
      </c>
      <c r="F12" s="7">
        <v>10</v>
      </c>
      <c r="G12" s="16">
        <v>5.0000000000000001E-3</v>
      </c>
      <c r="H12" s="8">
        <f t="shared" si="0"/>
        <v>6.3236002403694069</v>
      </c>
      <c r="I12" s="7">
        <v>5</v>
      </c>
      <c r="J12" s="9">
        <f t="shared" si="1"/>
        <v>3.3333333333333333E-2</v>
      </c>
      <c r="K12" s="8">
        <f t="shared" si="2"/>
        <v>6.3569335737027401</v>
      </c>
      <c r="L12" s="8">
        <f t="shared" si="3"/>
        <v>158.42658620589816</v>
      </c>
      <c r="M12" s="7">
        <f>860/10000</f>
        <v>8.5999999999999993E-2</v>
      </c>
      <c r="N12" s="16">
        <v>5.0000000000000001E-3</v>
      </c>
      <c r="O12" s="9">
        <f t="shared" si="4"/>
        <v>3.4088965407095516E-2</v>
      </c>
      <c r="P12" s="10">
        <f t="shared" si="5"/>
        <v>9.5972101209574525</v>
      </c>
    </row>
    <row r="13" spans="3:17" x14ac:dyDescent="0.3">
      <c r="E13" s="2"/>
      <c r="F13" s="2"/>
      <c r="G13" s="12"/>
      <c r="H13" s="13"/>
      <c r="I13" s="2"/>
      <c r="J13" s="14"/>
      <c r="K13" s="13"/>
      <c r="L13" s="13"/>
      <c r="M13" s="2"/>
      <c r="N13" s="2"/>
      <c r="O13" s="14"/>
      <c r="P13" s="15"/>
    </row>
    <row r="16" spans="3:17" x14ac:dyDescent="0.3">
      <c r="K16" s="21"/>
    </row>
    <row r="17" spans="11:11" x14ac:dyDescent="0.3">
      <c r="K17" s="21"/>
    </row>
    <row r="18" spans="11:11" x14ac:dyDescent="0.3">
      <c r="K18" s="21"/>
    </row>
    <row r="19" spans="11:11" x14ac:dyDescent="0.3">
      <c r="K19" s="21"/>
    </row>
    <row r="20" spans="11:11" x14ac:dyDescent="0.3">
      <c r="K20" s="21"/>
    </row>
    <row r="21" spans="11:11" x14ac:dyDescent="0.3">
      <c r="K21" s="21"/>
    </row>
  </sheetData>
  <mergeCells count="2">
    <mergeCell ref="D2:P2"/>
    <mergeCell ref="C4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5EBC0-DB9E-4492-BCF4-35612A7B058B}">
  <dimension ref="B8:O36"/>
  <sheetViews>
    <sheetView topLeftCell="F19" workbookViewId="0">
      <selection activeCell="P22" sqref="P22"/>
    </sheetView>
  </sheetViews>
  <sheetFormatPr baseColWidth="10" defaultColWidth="8.88671875" defaultRowHeight="14.4" x14ac:dyDescent="0.3"/>
  <cols>
    <col min="4" max="4" width="8.88671875" style="2"/>
  </cols>
  <sheetData>
    <row r="8" spans="2:15" x14ac:dyDescent="0.3">
      <c r="B8" t="s">
        <v>1</v>
      </c>
      <c r="C8">
        <v>0.9</v>
      </c>
      <c r="M8" t="s">
        <v>1</v>
      </c>
      <c r="N8">
        <v>0.9</v>
      </c>
      <c r="O8" s="2"/>
    </row>
    <row r="9" spans="2:15" x14ac:dyDescent="0.3">
      <c r="O9" s="2"/>
    </row>
    <row r="10" spans="2:15" x14ac:dyDescent="0.3">
      <c r="B10" t="s">
        <v>4</v>
      </c>
      <c r="C10">
        <v>12</v>
      </c>
      <c r="D10" s="2" t="s">
        <v>8</v>
      </c>
      <c r="M10" t="s">
        <v>4</v>
      </c>
      <c r="N10">
        <v>10</v>
      </c>
      <c r="O10" s="2" t="s">
        <v>8</v>
      </c>
    </row>
    <row r="11" spans="2:15" x14ac:dyDescent="0.3">
      <c r="B11" t="s">
        <v>6</v>
      </c>
      <c r="C11" s="1">
        <v>0.27</v>
      </c>
      <c r="M11" t="s">
        <v>6</v>
      </c>
      <c r="N11" s="1">
        <v>0.27</v>
      </c>
      <c r="O11" s="2"/>
    </row>
    <row r="12" spans="2:15" x14ac:dyDescent="0.3">
      <c r="B12" t="s">
        <v>8</v>
      </c>
      <c r="C12">
        <v>0.02</v>
      </c>
      <c r="M12" t="s">
        <v>8</v>
      </c>
      <c r="N12">
        <v>0.02</v>
      </c>
      <c r="O12" s="2"/>
    </row>
    <row r="14" spans="2:15" x14ac:dyDescent="0.3">
      <c r="B14" t="s">
        <v>7</v>
      </c>
      <c r="C14">
        <f>1.44*(C10*C12/(C11^0.5))^0.467</f>
        <v>1.0039167562395834</v>
      </c>
      <c r="D14" s="2" t="s">
        <v>19</v>
      </c>
      <c r="M14" t="s">
        <v>7</v>
      </c>
      <c r="N14" s="3">
        <f>+(0.707*(1.1-N8)*N10^0.5)/(N11^0.5)</f>
        <v>0.86053299590256116</v>
      </c>
      <c r="O14" t="s">
        <v>19</v>
      </c>
    </row>
    <row r="16" spans="2:15" x14ac:dyDescent="0.3">
      <c r="B16" t="s">
        <v>10</v>
      </c>
      <c r="C16">
        <v>5</v>
      </c>
      <c r="D16" s="2" t="s">
        <v>20</v>
      </c>
      <c r="M16" t="s">
        <v>10</v>
      </c>
      <c r="N16">
        <v>5</v>
      </c>
      <c r="O16" s="2" t="s">
        <v>20</v>
      </c>
    </row>
    <row r="17" spans="2:15" x14ac:dyDescent="0.3">
      <c r="O17" s="2"/>
    </row>
    <row r="18" spans="2:15" x14ac:dyDescent="0.3">
      <c r="B18" t="s">
        <v>9</v>
      </c>
      <c r="C18">
        <f>+C10/(60*C16)</f>
        <v>0.04</v>
      </c>
      <c r="D18" s="2" t="s">
        <v>19</v>
      </c>
      <c r="M18" t="s">
        <v>9</v>
      </c>
      <c r="N18">
        <f>+N10/(60*N16)</f>
        <v>3.3333333333333333E-2</v>
      </c>
      <c r="O18" s="2" t="s">
        <v>19</v>
      </c>
    </row>
    <row r="19" spans="2:15" x14ac:dyDescent="0.3">
      <c r="O19" s="2"/>
    </row>
    <row r="20" spans="2:15" x14ac:dyDescent="0.3">
      <c r="B20" t="s">
        <v>11</v>
      </c>
      <c r="C20">
        <f>+C18+C14</f>
        <v>1.0439167562395835</v>
      </c>
      <c r="D20" s="2" t="s">
        <v>19</v>
      </c>
      <c r="M20" t="s">
        <v>11</v>
      </c>
      <c r="N20" s="3">
        <f>+N18+N14</f>
        <v>0.89386632923589449</v>
      </c>
      <c r="O20" s="2" t="s">
        <v>19</v>
      </c>
    </row>
    <row r="21" spans="2:15" x14ac:dyDescent="0.3">
      <c r="O21" s="2"/>
    </row>
    <row r="22" spans="2:15" x14ac:dyDescent="0.3">
      <c r="B22" t="s">
        <v>2</v>
      </c>
      <c r="C22">
        <f>3483/((16+C20)^0.9946)</f>
        <v>207.50785676662707</v>
      </c>
      <c r="D22" s="2" t="s">
        <v>12</v>
      </c>
      <c r="M22" t="s">
        <v>2</v>
      </c>
      <c r="N22" s="3">
        <f>3483/((16+N20)^0.9946)</f>
        <v>209.34093414385586</v>
      </c>
      <c r="O22" s="2" t="s">
        <v>12</v>
      </c>
    </row>
    <row r="23" spans="2:15" x14ac:dyDescent="0.3">
      <c r="B23" t="s">
        <v>2</v>
      </c>
      <c r="C23">
        <f>+C22*2.78</f>
        <v>576.87184181122325</v>
      </c>
      <c r="D23" s="2" t="s">
        <v>13</v>
      </c>
      <c r="M23" t="s">
        <v>2</v>
      </c>
      <c r="N23">
        <f>+N22*2.78</f>
        <v>581.96779691991924</v>
      </c>
      <c r="O23" s="2" t="s">
        <v>13</v>
      </c>
    </row>
    <row r="24" spans="2:15" x14ac:dyDescent="0.3">
      <c r="O24" s="2"/>
    </row>
    <row r="25" spans="2:15" x14ac:dyDescent="0.3">
      <c r="B25" t="s">
        <v>3</v>
      </c>
      <c r="C25">
        <f>65/10000</f>
        <v>6.4999999999999997E-3</v>
      </c>
      <c r="D25" s="2" t="s">
        <v>18</v>
      </c>
      <c r="M25" t="s">
        <v>3</v>
      </c>
      <c r="N25">
        <f>1486/10000</f>
        <v>0.14860000000000001</v>
      </c>
      <c r="O25" s="2" t="s">
        <v>18</v>
      </c>
    </row>
    <row r="26" spans="2:15" x14ac:dyDescent="0.3">
      <c r="O26" s="2"/>
    </row>
    <row r="27" spans="2:15" x14ac:dyDescent="0.3">
      <c r="M27" t="s">
        <v>0</v>
      </c>
      <c r="N27" s="3">
        <f>2.78*N8*N22*N25</f>
        <v>77.832373160070006</v>
      </c>
      <c r="O27" s="2" t="s">
        <v>25</v>
      </c>
    </row>
    <row r="28" spans="2:15" x14ac:dyDescent="0.3">
      <c r="B28" t="s">
        <v>0</v>
      </c>
      <c r="C28">
        <f>2.78*C8*C23*C25/1000</f>
        <v>9.3816667633759235E-3</v>
      </c>
      <c r="D28" s="2" t="s">
        <v>14</v>
      </c>
      <c r="M28" t="s">
        <v>0</v>
      </c>
      <c r="N28" s="3">
        <f>2.78*N8*N22*N25/1000</f>
        <v>7.7832373160070009E-2</v>
      </c>
      <c r="O28" s="2" t="s">
        <v>14</v>
      </c>
    </row>
    <row r="29" spans="2:15" x14ac:dyDescent="0.3">
      <c r="O29" s="2"/>
    </row>
    <row r="30" spans="2:15" x14ac:dyDescent="0.3">
      <c r="B30" t="s">
        <v>15</v>
      </c>
      <c r="C30">
        <v>1.4999999999999999E-2</v>
      </c>
      <c r="M30" t="s">
        <v>15</v>
      </c>
      <c r="N30">
        <v>1.4999999999999999E-2</v>
      </c>
      <c r="O30" s="2"/>
    </row>
    <row r="31" spans="2:15" x14ac:dyDescent="0.3">
      <c r="M31" t="s">
        <v>5</v>
      </c>
      <c r="N31" s="1">
        <v>0.02</v>
      </c>
      <c r="O31" s="2"/>
    </row>
    <row r="32" spans="2:15" x14ac:dyDescent="0.3">
      <c r="O32" s="2"/>
    </row>
    <row r="33" spans="2:15" x14ac:dyDescent="0.3">
      <c r="C33">
        <f>1.548*(C30*C28/(C11^0.5))^(1^(3/8))</f>
        <v>4.1923770614126193E-4</v>
      </c>
      <c r="N33">
        <f>1.548*(N30*N28/(N11^0.5))^(1^(3/8))</f>
        <v>3.478088319502057E-3</v>
      </c>
      <c r="O33" s="2"/>
    </row>
    <row r="34" spans="2:15" x14ac:dyDescent="0.3">
      <c r="D34"/>
    </row>
    <row r="35" spans="2:15" x14ac:dyDescent="0.3">
      <c r="B35" t="s">
        <v>16</v>
      </c>
      <c r="C35">
        <f>1.548*(C30*C28/(C11^0.5))^((3/8))</f>
        <v>7.1126178237023149E-2</v>
      </c>
      <c r="D35" s="2" t="s">
        <v>8</v>
      </c>
      <c r="M35" t="s">
        <v>16</v>
      </c>
      <c r="N35">
        <f>1.548*(N30*N28/(N31^0.5))^((3/8))</f>
        <v>0.25618114153435217</v>
      </c>
      <c r="O35" s="2" t="s">
        <v>8</v>
      </c>
    </row>
    <row r="36" spans="2:15" x14ac:dyDescent="0.3">
      <c r="B36" t="s">
        <v>16</v>
      </c>
      <c r="C36">
        <f>+C35*39.3701</f>
        <v>2.8002447498094249</v>
      </c>
      <c r="D36" s="2" t="s">
        <v>17</v>
      </c>
      <c r="M36" t="s">
        <v>16</v>
      </c>
      <c r="N36">
        <f>+N35*39.3701</f>
        <v>10.0858771603216</v>
      </c>
      <c r="O36" s="2" t="s">
        <v>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2D269-BFB8-4C32-9F3A-C1B08354DE39}">
  <dimension ref="B8:D35"/>
  <sheetViews>
    <sheetView topLeftCell="A19" zoomScaleNormal="100" workbookViewId="0">
      <selection activeCell="C32" sqref="C32"/>
    </sheetView>
  </sheetViews>
  <sheetFormatPr baseColWidth="10" defaultColWidth="8.88671875" defaultRowHeight="14.4" x14ac:dyDescent="0.3"/>
  <cols>
    <col min="4" max="4" width="8.88671875" style="2"/>
  </cols>
  <sheetData>
    <row r="8" spans="2:4" x14ac:dyDescent="0.3">
      <c r="B8" t="s">
        <v>1</v>
      </c>
      <c r="C8">
        <v>0.95</v>
      </c>
    </row>
    <row r="10" spans="2:4" x14ac:dyDescent="0.3">
      <c r="B10" t="s">
        <v>4</v>
      </c>
      <c r="C10">
        <v>10</v>
      </c>
      <c r="D10" s="2" t="s">
        <v>8</v>
      </c>
    </row>
    <row r="11" spans="2:4" x14ac:dyDescent="0.3">
      <c r="B11" t="s">
        <v>6</v>
      </c>
      <c r="C11" s="1">
        <v>0.27</v>
      </c>
    </row>
    <row r="12" spans="2:4" x14ac:dyDescent="0.3">
      <c r="B12" t="s">
        <v>8</v>
      </c>
      <c r="C12">
        <v>0.02</v>
      </c>
    </row>
    <row r="14" spans="2:4" x14ac:dyDescent="0.3">
      <c r="B14" t="s">
        <v>7</v>
      </c>
      <c r="C14">
        <f>1.44*(C10*C12/(C11^0.5))^0.467</f>
        <v>0.92197694486960502</v>
      </c>
      <c r="D14" s="2" t="s">
        <v>19</v>
      </c>
    </row>
    <row r="16" spans="2:4" x14ac:dyDescent="0.3">
      <c r="B16" t="s">
        <v>10</v>
      </c>
      <c r="C16">
        <v>5</v>
      </c>
      <c r="D16" s="2" t="s">
        <v>20</v>
      </c>
    </row>
    <row r="18" spans="2:4" x14ac:dyDescent="0.3">
      <c r="B18" t="s">
        <v>9</v>
      </c>
      <c r="C18">
        <f>+C10/(60*C16)</f>
        <v>3.3333333333333333E-2</v>
      </c>
      <c r="D18" s="2" t="s">
        <v>19</v>
      </c>
    </row>
    <row r="20" spans="2:4" x14ac:dyDescent="0.3">
      <c r="B20" t="s">
        <v>11</v>
      </c>
      <c r="C20">
        <f>+C18+C14</f>
        <v>0.95531027820293835</v>
      </c>
      <c r="D20" s="2" t="s">
        <v>19</v>
      </c>
    </row>
    <row r="22" spans="2:4" x14ac:dyDescent="0.3">
      <c r="B22" t="s">
        <v>2</v>
      </c>
      <c r="C22">
        <f>3483/((16+C20)^0.9946)</f>
        <v>208.5863976576365</v>
      </c>
      <c r="D22" s="2" t="s">
        <v>12</v>
      </c>
    </row>
    <row r="23" spans="2:4" x14ac:dyDescent="0.3">
      <c r="B23" t="s">
        <v>2</v>
      </c>
      <c r="C23">
        <f>+C22*2.78</f>
        <v>579.87018548822937</v>
      </c>
      <c r="D23" s="2" t="s">
        <v>13</v>
      </c>
    </row>
    <row r="25" spans="2:4" x14ac:dyDescent="0.3">
      <c r="B25" t="s">
        <v>3</v>
      </c>
      <c r="C25">
        <f>608/10000</f>
        <v>6.08E-2</v>
      </c>
      <c r="D25" s="2" t="s">
        <v>18</v>
      </c>
    </row>
    <row r="27" spans="2:4" x14ac:dyDescent="0.3">
      <c r="B27" t="s">
        <v>0</v>
      </c>
      <c r="C27">
        <f>2.78*C8*C22*C25/1000</f>
        <v>3.3493301913800122E-2</v>
      </c>
      <c r="D27" s="2" t="s">
        <v>14</v>
      </c>
    </row>
    <row r="29" spans="2:4" ht="13.8" customHeight="1" x14ac:dyDescent="0.3">
      <c r="B29" t="s">
        <v>15</v>
      </c>
      <c r="C29">
        <v>1.4999999999999999E-2</v>
      </c>
    </row>
    <row r="30" spans="2:4" ht="13.8" customHeight="1" x14ac:dyDescent="0.3">
      <c r="B30" t="s">
        <v>5</v>
      </c>
      <c r="C30" s="1">
        <v>0.27</v>
      </c>
    </row>
    <row r="32" spans="2:4" x14ac:dyDescent="0.3">
      <c r="C32">
        <f>1.548*(C29*C27/(C30^0.5))^(1^(3/8))</f>
        <v>1.4967121962009998E-3</v>
      </c>
    </row>
    <row r="33" spans="2:4" x14ac:dyDescent="0.3">
      <c r="D33"/>
    </row>
    <row r="34" spans="2:4" x14ac:dyDescent="0.3">
      <c r="B34" t="s">
        <v>16</v>
      </c>
      <c r="C34">
        <f>1.548*(C29*C27/(C30^0.5))^((3/8))</f>
        <v>0.11462615092500199</v>
      </c>
      <c r="D34" s="2" t="s">
        <v>8</v>
      </c>
    </row>
    <row r="35" spans="2:4" x14ac:dyDescent="0.3">
      <c r="B35" t="s">
        <v>16</v>
      </c>
      <c r="C35">
        <f>+C34*39.3701</f>
        <v>4.5128430245324207</v>
      </c>
      <c r="D35" s="2" t="s">
        <v>17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7C7D3-1B00-4063-9E06-82CA69B6A8CD}">
  <dimension ref="B8:O44"/>
  <sheetViews>
    <sheetView topLeftCell="D28" workbookViewId="0">
      <selection activeCell="N44" sqref="N44"/>
    </sheetView>
  </sheetViews>
  <sheetFormatPr baseColWidth="10" defaultColWidth="8.88671875" defaultRowHeight="14.4" x14ac:dyDescent="0.3"/>
  <cols>
    <col min="4" max="4" width="8.88671875" style="2"/>
  </cols>
  <sheetData>
    <row r="8" spans="2:15" x14ac:dyDescent="0.3">
      <c r="B8" t="s">
        <v>1</v>
      </c>
      <c r="C8">
        <v>0.9</v>
      </c>
      <c r="M8" t="s">
        <v>1</v>
      </c>
      <c r="N8">
        <v>0.9</v>
      </c>
      <c r="O8" s="2"/>
    </row>
    <row r="9" spans="2:15" x14ac:dyDescent="0.3">
      <c r="O9" s="2"/>
    </row>
    <row r="10" spans="2:15" x14ac:dyDescent="0.3">
      <c r="B10" t="s">
        <v>4</v>
      </c>
      <c r="C10">
        <v>12</v>
      </c>
      <c r="D10" s="2" t="s">
        <v>8</v>
      </c>
      <c r="M10" t="s">
        <v>4</v>
      </c>
      <c r="N10">
        <v>85</v>
      </c>
      <c r="O10" s="2" t="s">
        <v>8</v>
      </c>
    </row>
    <row r="11" spans="2:15" x14ac:dyDescent="0.3">
      <c r="B11" t="s">
        <v>6</v>
      </c>
      <c r="C11" s="1">
        <v>0.27</v>
      </c>
      <c r="M11" t="s">
        <v>6</v>
      </c>
      <c r="N11" s="1">
        <v>0.02</v>
      </c>
      <c r="O11" s="2"/>
    </row>
    <row r="12" spans="2:15" x14ac:dyDescent="0.3">
      <c r="B12" t="s">
        <v>8</v>
      </c>
      <c r="C12">
        <v>0.02</v>
      </c>
      <c r="M12" t="s">
        <v>8</v>
      </c>
      <c r="N12">
        <v>0.02</v>
      </c>
      <c r="O12" s="2"/>
    </row>
    <row r="14" spans="2:15" x14ac:dyDescent="0.3">
      <c r="B14" t="s">
        <v>7</v>
      </c>
      <c r="C14">
        <f>1.44*(C10*C12/(C11^0.5))^0.467</f>
        <v>1.0039167562395834</v>
      </c>
      <c r="D14" s="2" t="s">
        <v>19</v>
      </c>
      <c r="M14" t="s">
        <v>7</v>
      </c>
      <c r="N14" s="3">
        <f>+(0.707*(1.1-N8)*N10^0.5)/(N11^0.5)</f>
        <v>9.2181522009565473</v>
      </c>
      <c r="O14" t="s">
        <v>19</v>
      </c>
    </row>
    <row r="16" spans="2:15" x14ac:dyDescent="0.3">
      <c r="B16" t="s">
        <v>10</v>
      </c>
      <c r="C16">
        <v>5</v>
      </c>
      <c r="D16" s="2" t="s">
        <v>20</v>
      </c>
      <c r="M16" t="s">
        <v>10</v>
      </c>
      <c r="N16">
        <v>5</v>
      </c>
      <c r="O16" s="2" t="s">
        <v>20</v>
      </c>
    </row>
    <row r="17" spans="2:15" x14ac:dyDescent="0.3">
      <c r="O17" s="2"/>
    </row>
    <row r="18" spans="2:15" x14ac:dyDescent="0.3">
      <c r="B18" t="s">
        <v>9</v>
      </c>
      <c r="C18">
        <f>+C10/(60*C16)</f>
        <v>0.04</v>
      </c>
      <c r="D18" s="2" t="s">
        <v>19</v>
      </c>
      <c r="M18" t="s">
        <v>9</v>
      </c>
      <c r="N18">
        <f>+N10/(60*N16)</f>
        <v>0.28333333333333333</v>
      </c>
      <c r="O18" s="2" t="s">
        <v>19</v>
      </c>
    </row>
    <row r="19" spans="2:15" x14ac:dyDescent="0.3">
      <c r="O19" s="2"/>
    </row>
    <row r="20" spans="2:15" x14ac:dyDescent="0.3">
      <c r="B20" t="s">
        <v>11</v>
      </c>
      <c r="C20">
        <f>+C18+C14</f>
        <v>1.0439167562395835</v>
      </c>
      <c r="D20" s="2" t="s">
        <v>19</v>
      </c>
      <c r="M20" t="s">
        <v>11</v>
      </c>
      <c r="N20" s="3">
        <f>+N18+N14</f>
        <v>9.5014855342898805</v>
      </c>
      <c r="O20" s="2" t="s">
        <v>19</v>
      </c>
    </row>
    <row r="21" spans="2:15" x14ac:dyDescent="0.3">
      <c r="O21" s="2"/>
    </row>
    <row r="22" spans="2:15" x14ac:dyDescent="0.3">
      <c r="B22" t="s">
        <v>2</v>
      </c>
      <c r="C22">
        <f>3483/((16+C20)^0.9946)</f>
        <v>207.50785676662707</v>
      </c>
      <c r="D22" s="2" t="s">
        <v>12</v>
      </c>
      <c r="M22" t="s">
        <v>2</v>
      </c>
      <c r="N22" s="3">
        <f>3483/((16+N20)^0.9946)</f>
        <v>138.98996577668805</v>
      </c>
      <c r="O22" s="2" t="s">
        <v>12</v>
      </c>
    </row>
    <row r="23" spans="2:15" x14ac:dyDescent="0.3">
      <c r="B23" t="s">
        <v>2</v>
      </c>
      <c r="C23">
        <f>+C22*2.78</f>
        <v>576.87184181122325</v>
      </c>
      <c r="D23" s="2" t="s">
        <v>13</v>
      </c>
      <c r="M23" t="s">
        <v>2</v>
      </c>
      <c r="N23">
        <f>+N22*2.78</f>
        <v>386.39210485919278</v>
      </c>
      <c r="O23" s="2" t="s">
        <v>13</v>
      </c>
    </row>
    <row r="24" spans="2:15" x14ac:dyDescent="0.3">
      <c r="O24" s="2"/>
    </row>
    <row r="25" spans="2:15" x14ac:dyDescent="0.3">
      <c r="B25" t="s">
        <v>3</v>
      </c>
      <c r="C25">
        <f>65/10000</f>
        <v>6.4999999999999997E-3</v>
      </c>
      <c r="D25" s="2" t="s">
        <v>18</v>
      </c>
      <c r="M25" t="s">
        <v>3</v>
      </c>
      <c r="N25">
        <f>1380/10000</f>
        <v>0.13800000000000001</v>
      </c>
      <c r="O25" s="2" t="s">
        <v>18</v>
      </c>
    </row>
    <row r="26" spans="2:15" x14ac:dyDescent="0.3">
      <c r="O26" s="2"/>
    </row>
    <row r="27" spans="2:15" x14ac:dyDescent="0.3">
      <c r="M27" t="s">
        <v>0</v>
      </c>
      <c r="N27" s="3">
        <f>2.78*N8*N22*N25</f>
        <v>47.989899423511744</v>
      </c>
      <c r="O27" s="2" t="s">
        <v>25</v>
      </c>
    </row>
    <row r="28" spans="2:15" x14ac:dyDescent="0.3">
      <c r="B28" t="s">
        <v>0</v>
      </c>
      <c r="C28">
        <f>2.78*C8*C23*C25/1000</f>
        <v>9.3816667633759235E-3</v>
      </c>
      <c r="D28" s="2" t="s">
        <v>14</v>
      </c>
      <c r="M28" t="s">
        <v>0</v>
      </c>
      <c r="N28" s="3">
        <f>2.78*N8*N22*N25/1000</f>
        <v>4.7989899423511742E-2</v>
      </c>
      <c r="O28" s="2" t="s">
        <v>14</v>
      </c>
    </row>
    <row r="29" spans="2:15" x14ac:dyDescent="0.3">
      <c r="O29" s="2"/>
    </row>
    <row r="30" spans="2:15" x14ac:dyDescent="0.3">
      <c r="B30" t="s">
        <v>15</v>
      </c>
      <c r="C30">
        <v>1.4999999999999999E-2</v>
      </c>
      <c r="M30" t="s">
        <v>15</v>
      </c>
      <c r="N30">
        <v>1.4999999999999999E-2</v>
      </c>
      <c r="O30" s="2"/>
    </row>
    <row r="31" spans="2:15" x14ac:dyDescent="0.3">
      <c r="M31" t="s">
        <v>5</v>
      </c>
      <c r="N31" s="1">
        <v>0.05</v>
      </c>
      <c r="O31" s="2"/>
    </row>
    <row r="32" spans="2:15" x14ac:dyDescent="0.3">
      <c r="O32" s="2"/>
    </row>
    <row r="33" spans="2:15" x14ac:dyDescent="0.3">
      <c r="C33">
        <f>1.548*(C30*C28/(C11^0.5))^(1^(3/8))</f>
        <v>4.1923770614126193E-4</v>
      </c>
      <c r="N33">
        <f>1.548*(N30*N28/(N11^0.5))^(1^(3/8))</f>
        <v>7.8794709247736912E-3</v>
      </c>
      <c r="O33" s="2"/>
    </row>
    <row r="34" spans="2:15" x14ac:dyDescent="0.3">
      <c r="D34"/>
    </row>
    <row r="35" spans="2:15" x14ac:dyDescent="0.3">
      <c r="B35" t="s">
        <v>16</v>
      </c>
      <c r="C35">
        <f>1.548*(C30*C28/(C11^0.5))^((3/8))</f>
        <v>7.1126178237023149E-2</v>
      </c>
      <c r="D35" s="2" t="s">
        <v>8</v>
      </c>
      <c r="M35" t="s">
        <v>16</v>
      </c>
      <c r="N35">
        <f>1.548*(N30*N28/(N31^0.5))^((3/8))</f>
        <v>0.17996145366475672</v>
      </c>
      <c r="O35" s="2" t="s">
        <v>8</v>
      </c>
    </row>
    <row r="36" spans="2:15" x14ac:dyDescent="0.3">
      <c r="B36" t="s">
        <v>16</v>
      </c>
      <c r="C36">
        <f>+C35*39.3701</f>
        <v>2.8002447498094249</v>
      </c>
      <c r="D36" s="2" t="s">
        <v>17</v>
      </c>
      <c r="M36" t="s">
        <v>16</v>
      </c>
      <c r="N36">
        <f>+N35*39.3701</f>
        <v>7.0851004269268385</v>
      </c>
      <c r="O36" s="2" t="s">
        <v>17</v>
      </c>
    </row>
    <row r="38" spans="2:15" x14ac:dyDescent="0.3">
      <c r="M38" t="s">
        <v>21</v>
      </c>
      <c r="O38" s="2"/>
    </row>
    <row r="39" spans="2:15" x14ac:dyDescent="0.3">
      <c r="O39" s="2"/>
    </row>
    <row r="40" spans="2:15" x14ac:dyDescent="0.3">
      <c r="M40" t="s">
        <v>3</v>
      </c>
      <c r="N40">
        <f>PI()*(N35/2)*(N35/2)</f>
        <v>2.543600294151151E-2</v>
      </c>
      <c r="O40" s="2" t="s">
        <v>8</v>
      </c>
    </row>
    <row r="41" spans="2:15" x14ac:dyDescent="0.3">
      <c r="O41" s="2"/>
    </row>
    <row r="42" spans="2:15" x14ac:dyDescent="0.3">
      <c r="M42" t="s">
        <v>23</v>
      </c>
      <c r="N42">
        <v>0.4</v>
      </c>
      <c r="O42" s="2" t="s">
        <v>8</v>
      </c>
    </row>
    <row r="43" spans="2:15" x14ac:dyDescent="0.3">
      <c r="O43" s="2"/>
    </row>
    <row r="44" spans="2:15" x14ac:dyDescent="0.3">
      <c r="M44" t="s">
        <v>22</v>
      </c>
      <c r="N44">
        <f>N40/N42*100</f>
        <v>6.3590007353778777</v>
      </c>
      <c r="O44" s="2" t="s">
        <v>24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5AE22-C08B-44CC-8B0E-C35B7C484562}">
  <dimension ref="B8:D42"/>
  <sheetViews>
    <sheetView topLeftCell="A22" workbookViewId="0">
      <selection activeCell="B36" sqref="B36:E42"/>
    </sheetView>
  </sheetViews>
  <sheetFormatPr baseColWidth="10" defaultColWidth="8.88671875" defaultRowHeight="14.4" x14ac:dyDescent="0.3"/>
  <cols>
    <col min="4" max="4" width="8.88671875" style="2"/>
  </cols>
  <sheetData>
    <row r="8" spans="2:4" x14ac:dyDescent="0.3">
      <c r="B8" t="s">
        <v>1</v>
      </c>
      <c r="C8">
        <v>0.95</v>
      </c>
    </row>
    <row r="10" spans="2:4" x14ac:dyDescent="0.3">
      <c r="B10" t="s">
        <v>4</v>
      </c>
      <c r="C10">
        <v>85</v>
      </c>
      <c r="D10" s="2" t="s">
        <v>8</v>
      </c>
    </row>
    <row r="11" spans="2:4" x14ac:dyDescent="0.3">
      <c r="B11" t="s">
        <v>6</v>
      </c>
      <c r="C11" s="1">
        <v>0.05</v>
      </c>
    </row>
    <row r="12" spans="2:4" x14ac:dyDescent="0.3">
      <c r="B12" t="s">
        <v>8</v>
      </c>
      <c r="C12">
        <v>0.02</v>
      </c>
    </row>
    <row r="14" spans="2:4" x14ac:dyDescent="0.3">
      <c r="B14" t="s">
        <v>7</v>
      </c>
      <c r="C14">
        <f>1.44*(C10*C12/(C11^0.5))^0.467</f>
        <v>3.7134077748189482</v>
      </c>
      <c r="D14" s="2" t="s">
        <v>19</v>
      </c>
    </row>
    <row r="16" spans="2:4" x14ac:dyDescent="0.3">
      <c r="B16" t="s">
        <v>10</v>
      </c>
      <c r="C16">
        <v>5</v>
      </c>
      <c r="D16" s="2" t="s">
        <v>20</v>
      </c>
    </row>
    <row r="18" spans="2:4" x14ac:dyDescent="0.3">
      <c r="B18" t="s">
        <v>9</v>
      </c>
      <c r="C18">
        <f>+C10/(60*C16)</f>
        <v>0.28333333333333333</v>
      </c>
      <c r="D18" s="2" t="s">
        <v>19</v>
      </c>
    </row>
    <row r="20" spans="2:4" x14ac:dyDescent="0.3">
      <c r="B20" t="s">
        <v>11</v>
      </c>
      <c r="C20">
        <f>+C18+C14</f>
        <v>3.9967411081522815</v>
      </c>
      <c r="D20" s="2" t="s">
        <v>19</v>
      </c>
    </row>
    <row r="22" spans="2:4" x14ac:dyDescent="0.3">
      <c r="B22" t="s">
        <v>2</v>
      </c>
      <c r="C22">
        <f>3483/(16+C20^0.9946)</f>
        <v>174.43825297241193</v>
      </c>
      <c r="D22" s="2" t="s">
        <v>12</v>
      </c>
    </row>
    <row r="23" spans="2:4" x14ac:dyDescent="0.3">
      <c r="B23" t="s">
        <v>2</v>
      </c>
      <c r="C23">
        <f>+C22*2.78</f>
        <v>484.93834326330511</v>
      </c>
      <c r="D23" s="2" t="s">
        <v>13</v>
      </c>
    </row>
    <row r="25" spans="2:4" x14ac:dyDescent="0.3">
      <c r="B25" t="s">
        <v>3</v>
      </c>
      <c r="C25">
        <f>608/10000</f>
        <v>6.08E-2</v>
      </c>
      <c r="D25" s="2" t="s">
        <v>18</v>
      </c>
    </row>
    <row r="27" spans="2:4" x14ac:dyDescent="0.3">
      <c r="B27" t="s">
        <v>0</v>
      </c>
      <c r="C27">
        <f>2.78*C8*C23*C25/1000</f>
        <v>7.7867907605150027E-2</v>
      </c>
      <c r="D27" s="2" t="s">
        <v>14</v>
      </c>
    </row>
    <row r="29" spans="2:4" x14ac:dyDescent="0.3">
      <c r="B29" t="s">
        <v>15</v>
      </c>
      <c r="C29">
        <v>1.4999999999999999E-2</v>
      </c>
    </row>
    <row r="31" spans="2:4" x14ac:dyDescent="0.3">
      <c r="C31">
        <f>1.548*(C29*C27/(C11^0.5))^(1^(3/8))</f>
        <v>8.0860368861114095E-3</v>
      </c>
    </row>
    <row r="32" spans="2:4" x14ac:dyDescent="0.3">
      <c r="D32"/>
    </row>
    <row r="33" spans="2:4" x14ac:dyDescent="0.3">
      <c r="B33" t="s">
        <v>16</v>
      </c>
      <c r="C33">
        <f>+(C27*C29/(0.312*C11^0.5))^(3/8)</f>
        <v>0.21573907529040978</v>
      </c>
      <c r="D33" s="2" t="s">
        <v>8</v>
      </c>
    </row>
    <row r="34" spans="2:4" x14ac:dyDescent="0.3">
      <c r="B34" t="s">
        <v>16</v>
      </c>
      <c r="C34">
        <f>+C33*39.3701</f>
        <v>8.4936689680909616</v>
      </c>
      <c r="D34" s="2" t="s">
        <v>17</v>
      </c>
    </row>
    <row r="36" spans="2:4" x14ac:dyDescent="0.3">
      <c r="B36" t="s">
        <v>21</v>
      </c>
    </row>
    <row r="38" spans="2:4" x14ac:dyDescent="0.3">
      <c r="B38" t="s">
        <v>3</v>
      </c>
      <c r="C38">
        <f>3.1416*(C33/2)*(C33/2)</f>
        <v>3.6555145996064332E-2</v>
      </c>
      <c r="D38" s="2" t="s">
        <v>8</v>
      </c>
    </row>
    <row r="40" spans="2:4" x14ac:dyDescent="0.3">
      <c r="B40" t="s">
        <v>23</v>
      </c>
      <c r="C40">
        <v>0.4</v>
      </c>
      <c r="D40" s="2" t="s">
        <v>8</v>
      </c>
    </row>
    <row r="42" spans="2:4" x14ac:dyDescent="0.3">
      <c r="B42" t="s">
        <v>22</v>
      </c>
      <c r="C42">
        <f>C38/C40*100</f>
        <v>9.1387864990160832</v>
      </c>
      <c r="D42" s="2" t="s">
        <v>24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07DBF-9647-47BB-A1C8-B3CCEF13C6A7}">
  <dimension ref="B8:O36"/>
  <sheetViews>
    <sheetView topLeftCell="J22" workbookViewId="0">
      <selection activeCell="N35" sqref="N35"/>
    </sheetView>
  </sheetViews>
  <sheetFormatPr baseColWidth="10" defaultColWidth="8.88671875" defaultRowHeight="14.4" x14ac:dyDescent="0.3"/>
  <cols>
    <col min="4" max="4" width="8.88671875" style="2"/>
    <col min="10" max="10" width="22" customWidth="1"/>
    <col min="11" max="11" width="16.44140625" customWidth="1"/>
    <col min="13" max="13" width="11" customWidth="1"/>
    <col min="14" max="14" width="12.6640625" customWidth="1"/>
    <col min="15" max="15" width="16.6640625" customWidth="1"/>
    <col min="16" max="16" width="18.44140625" customWidth="1"/>
    <col min="17" max="17" width="18.33203125" customWidth="1"/>
    <col min="18" max="18" width="16.21875" customWidth="1"/>
    <col min="19" max="19" width="12" customWidth="1"/>
    <col min="20" max="20" width="18.5546875" customWidth="1"/>
    <col min="21" max="21" width="17.5546875" customWidth="1"/>
  </cols>
  <sheetData>
    <row r="8" spans="2:15" x14ac:dyDescent="0.3">
      <c r="B8" t="s">
        <v>1</v>
      </c>
      <c r="C8">
        <v>0.9</v>
      </c>
      <c r="M8" t="s">
        <v>1</v>
      </c>
      <c r="N8">
        <v>0.9</v>
      </c>
      <c r="O8" s="2"/>
    </row>
    <row r="9" spans="2:15" x14ac:dyDescent="0.3">
      <c r="O9" s="2"/>
    </row>
    <row r="10" spans="2:15" x14ac:dyDescent="0.3">
      <c r="B10" t="s">
        <v>4</v>
      </c>
      <c r="C10">
        <v>12</v>
      </c>
      <c r="D10" s="2" t="s">
        <v>8</v>
      </c>
      <c r="M10" t="s">
        <v>4</v>
      </c>
      <c r="N10">
        <v>10</v>
      </c>
      <c r="O10" s="2" t="s">
        <v>8</v>
      </c>
    </row>
    <row r="11" spans="2:15" x14ac:dyDescent="0.3">
      <c r="B11" t="s">
        <v>6</v>
      </c>
      <c r="C11" s="1">
        <v>0.27</v>
      </c>
      <c r="M11" t="s">
        <v>6</v>
      </c>
      <c r="N11" s="1">
        <v>0.27</v>
      </c>
      <c r="O11" s="2"/>
    </row>
    <row r="12" spans="2:15" x14ac:dyDescent="0.3">
      <c r="B12" t="s">
        <v>8</v>
      </c>
      <c r="C12">
        <v>0.02</v>
      </c>
      <c r="M12" t="s">
        <v>8</v>
      </c>
      <c r="N12">
        <v>0.02</v>
      </c>
      <c r="O12" s="2"/>
    </row>
    <row r="14" spans="2:15" x14ac:dyDescent="0.3">
      <c r="B14" t="s">
        <v>7</v>
      </c>
      <c r="C14">
        <f>1.44*(C10*C12/(C11^0.5))^0.467</f>
        <v>1.0039167562395834</v>
      </c>
      <c r="D14" s="2" t="s">
        <v>19</v>
      </c>
      <c r="M14" t="s">
        <v>7</v>
      </c>
      <c r="N14" s="3">
        <f>+(0.707*(1.1-N8)*N10^0.5)/(N11^0.5)</f>
        <v>0.86053299590256116</v>
      </c>
      <c r="O14" t="s">
        <v>19</v>
      </c>
    </row>
    <row r="16" spans="2:15" x14ac:dyDescent="0.3">
      <c r="B16" t="s">
        <v>10</v>
      </c>
      <c r="C16">
        <v>5</v>
      </c>
      <c r="D16" s="2" t="s">
        <v>20</v>
      </c>
      <c r="M16" t="s">
        <v>10</v>
      </c>
      <c r="N16">
        <v>5</v>
      </c>
      <c r="O16" s="2" t="s">
        <v>20</v>
      </c>
    </row>
    <row r="17" spans="2:15" x14ac:dyDescent="0.3">
      <c r="O17" s="2"/>
    </row>
    <row r="18" spans="2:15" x14ac:dyDescent="0.3">
      <c r="B18" t="s">
        <v>9</v>
      </c>
      <c r="C18">
        <f>+C10/(60*C16)</f>
        <v>0.04</v>
      </c>
      <c r="D18" s="2" t="s">
        <v>19</v>
      </c>
      <c r="M18" t="s">
        <v>9</v>
      </c>
      <c r="N18">
        <f>+N10/(60*N16)</f>
        <v>3.3333333333333333E-2</v>
      </c>
      <c r="O18" s="2" t="s">
        <v>19</v>
      </c>
    </row>
    <row r="19" spans="2:15" x14ac:dyDescent="0.3">
      <c r="O19" s="2"/>
    </row>
    <row r="20" spans="2:15" x14ac:dyDescent="0.3">
      <c r="B20" t="s">
        <v>11</v>
      </c>
      <c r="C20">
        <f>+C18+C14</f>
        <v>1.0439167562395835</v>
      </c>
      <c r="D20" s="2" t="s">
        <v>19</v>
      </c>
      <c r="M20" t="s">
        <v>11</v>
      </c>
      <c r="N20" s="3">
        <f>+N18+N14</f>
        <v>0.89386632923589449</v>
      </c>
      <c r="O20" s="2" t="s">
        <v>19</v>
      </c>
    </row>
    <row r="21" spans="2:15" x14ac:dyDescent="0.3">
      <c r="O21" s="2"/>
    </row>
    <row r="22" spans="2:15" x14ac:dyDescent="0.3">
      <c r="B22" t="s">
        <v>2</v>
      </c>
      <c r="C22">
        <f>3483/((16+C20)^0.9946)</f>
        <v>207.50785676662707</v>
      </c>
      <c r="D22" s="2" t="s">
        <v>12</v>
      </c>
      <c r="M22" t="s">
        <v>2</v>
      </c>
      <c r="N22" s="3">
        <f>3483/((16+N20)^0.9946)</f>
        <v>209.34093414385586</v>
      </c>
      <c r="O22" s="2" t="s">
        <v>12</v>
      </c>
    </row>
    <row r="23" spans="2:15" x14ac:dyDescent="0.3">
      <c r="B23" t="s">
        <v>2</v>
      </c>
      <c r="C23">
        <f>+C22*2.78</f>
        <v>576.87184181122325</v>
      </c>
      <c r="D23" s="2" t="s">
        <v>13</v>
      </c>
      <c r="M23" t="s">
        <v>2</v>
      </c>
      <c r="N23">
        <f>+N22*2.78</f>
        <v>581.96779691991924</v>
      </c>
      <c r="O23" s="2" t="s">
        <v>13</v>
      </c>
    </row>
    <row r="24" spans="2:15" x14ac:dyDescent="0.3">
      <c r="O24" s="2"/>
    </row>
    <row r="25" spans="2:15" x14ac:dyDescent="0.3">
      <c r="B25" t="s">
        <v>3</v>
      </c>
      <c r="C25">
        <f>65/10000</f>
        <v>6.4999999999999997E-3</v>
      </c>
      <c r="D25" s="2" t="s">
        <v>18</v>
      </c>
      <c r="M25" t="s">
        <v>3</v>
      </c>
      <c r="N25">
        <f>2635/10000</f>
        <v>0.26350000000000001</v>
      </c>
      <c r="O25" s="2" t="s">
        <v>18</v>
      </c>
    </row>
    <row r="26" spans="2:15" x14ac:dyDescent="0.3">
      <c r="O26" s="2"/>
    </row>
    <row r="27" spans="2:15" x14ac:dyDescent="0.3">
      <c r="M27" t="s">
        <v>0</v>
      </c>
      <c r="N27" s="3">
        <f>2.78*N8*N22*N25</f>
        <v>138.01366303955888</v>
      </c>
      <c r="O27" s="2" t="s">
        <v>25</v>
      </c>
    </row>
    <row r="28" spans="2:15" x14ac:dyDescent="0.3">
      <c r="B28" t="s">
        <v>0</v>
      </c>
      <c r="C28">
        <f>2.78*C8*C23*C25/1000</f>
        <v>9.3816667633759235E-3</v>
      </c>
      <c r="D28" s="2" t="s">
        <v>14</v>
      </c>
      <c r="M28" t="s">
        <v>0</v>
      </c>
      <c r="N28" s="3">
        <f>2.78*N8*N22*N25/1000</f>
        <v>0.13801366303955886</v>
      </c>
      <c r="O28" s="2" t="s">
        <v>14</v>
      </c>
    </row>
    <row r="29" spans="2:15" x14ac:dyDescent="0.3">
      <c r="O29" s="2"/>
    </row>
    <row r="30" spans="2:15" x14ac:dyDescent="0.3">
      <c r="B30" t="s">
        <v>15</v>
      </c>
      <c r="C30">
        <v>1.4999999999999999E-2</v>
      </c>
      <c r="M30" t="s">
        <v>15</v>
      </c>
      <c r="N30">
        <v>1.4999999999999999E-2</v>
      </c>
      <c r="O30" s="2"/>
    </row>
    <row r="31" spans="2:15" x14ac:dyDescent="0.3">
      <c r="M31" t="s">
        <v>5</v>
      </c>
      <c r="N31" s="1">
        <v>0.02</v>
      </c>
      <c r="O31" s="2"/>
    </row>
    <row r="32" spans="2:15" x14ac:dyDescent="0.3">
      <c r="O32" s="2"/>
    </row>
    <row r="33" spans="2:15" x14ac:dyDescent="0.3">
      <c r="C33">
        <f>1.548*(C30*C28/(C11^0.5))^(1^(3/8))</f>
        <v>4.1923770614126193E-4</v>
      </c>
      <c r="N33">
        <f>1.548*(N30*N28/(N11^0.5))^(1^(3/8))</f>
        <v>6.1674042542987362E-3</v>
      </c>
      <c r="O33" s="2"/>
    </row>
    <row r="34" spans="2:15" x14ac:dyDescent="0.3">
      <c r="D34"/>
    </row>
    <row r="35" spans="2:15" x14ac:dyDescent="0.3">
      <c r="B35" t="s">
        <v>16</v>
      </c>
      <c r="C35">
        <f>1.548*(C30*C28/(C11^0.5))^((3/8))</f>
        <v>7.1126178237023149E-2</v>
      </c>
      <c r="D35" s="2" t="s">
        <v>8</v>
      </c>
      <c r="M35" t="s">
        <v>16</v>
      </c>
      <c r="N35">
        <f>1.548*(N30*N28/(N31^0.5))^((3/8))</f>
        <v>0.31756514924801343</v>
      </c>
      <c r="O35" s="2" t="s">
        <v>8</v>
      </c>
    </row>
    <row r="36" spans="2:15" x14ac:dyDescent="0.3">
      <c r="B36" t="s">
        <v>16</v>
      </c>
      <c r="C36">
        <f>+C35*39.3701</f>
        <v>2.8002447498094249</v>
      </c>
      <c r="D36" s="2" t="s">
        <v>17</v>
      </c>
      <c r="M36" t="s">
        <v>16</v>
      </c>
      <c r="N36">
        <f>+N35*39.3701</f>
        <v>12.502571682409213</v>
      </c>
      <c r="O36" s="2" t="s">
        <v>17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D77FF-229A-4BD9-BB35-87849ED6E86E}">
  <dimension ref="B8:D35"/>
  <sheetViews>
    <sheetView topLeftCell="A10" workbookViewId="0">
      <selection activeCell="I44" sqref="I44"/>
    </sheetView>
  </sheetViews>
  <sheetFormatPr baseColWidth="10" defaultColWidth="8.88671875" defaultRowHeight="14.4" x14ac:dyDescent="0.3"/>
  <cols>
    <col min="4" max="4" width="8.88671875" style="2"/>
  </cols>
  <sheetData>
    <row r="8" spans="2:4" x14ac:dyDescent="0.3">
      <c r="B8" t="s">
        <v>1</v>
      </c>
      <c r="C8">
        <v>0.95</v>
      </c>
    </row>
    <row r="10" spans="2:4" x14ac:dyDescent="0.3">
      <c r="B10" t="s">
        <v>4</v>
      </c>
      <c r="C10">
        <v>85</v>
      </c>
      <c r="D10" s="2" t="s">
        <v>8</v>
      </c>
    </row>
    <row r="11" spans="2:4" x14ac:dyDescent="0.3">
      <c r="B11" t="s">
        <v>6</v>
      </c>
      <c r="C11" s="1">
        <v>0.27</v>
      </c>
    </row>
    <row r="12" spans="2:4" x14ac:dyDescent="0.3">
      <c r="B12" t="s">
        <v>8</v>
      </c>
      <c r="C12">
        <v>0.02</v>
      </c>
    </row>
    <row r="14" spans="2:4" x14ac:dyDescent="0.3">
      <c r="B14" t="s">
        <v>7</v>
      </c>
      <c r="C14">
        <f>1.44*(C10*C12/(C11^0.5))^0.467</f>
        <v>2.5047172077594415</v>
      </c>
      <c r="D14" s="2" t="s">
        <v>19</v>
      </c>
    </row>
    <row r="16" spans="2:4" x14ac:dyDescent="0.3">
      <c r="B16" t="s">
        <v>10</v>
      </c>
      <c r="C16">
        <v>5</v>
      </c>
      <c r="D16" s="2" t="s">
        <v>20</v>
      </c>
    </row>
    <row r="18" spans="2:4" x14ac:dyDescent="0.3">
      <c r="B18" t="s">
        <v>9</v>
      </c>
      <c r="C18">
        <f>+C10/(60*C16)</f>
        <v>0.28333333333333333</v>
      </c>
      <c r="D18" s="2" t="s">
        <v>19</v>
      </c>
    </row>
    <row r="20" spans="2:4" x14ac:dyDescent="0.3">
      <c r="B20" t="s">
        <v>11</v>
      </c>
      <c r="C20">
        <f>+C18+C14</f>
        <v>2.7880505410927747</v>
      </c>
      <c r="D20" s="2" t="s">
        <v>19</v>
      </c>
    </row>
    <row r="22" spans="2:4" x14ac:dyDescent="0.3">
      <c r="B22" t="s">
        <v>2</v>
      </c>
      <c r="C22">
        <f>3483/((16+C20)^0.9946)</f>
        <v>188.34353437722052</v>
      </c>
      <c r="D22" s="2" t="s">
        <v>12</v>
      </c>
    </row>
    <row r="23" spans="2:4" x14ac:dyDescent="0.3">
      <c r="B23" t="s">
        <v>2</v>
      </c>
      <c r="C23">
        <f>+C22*2.78</f>
        <v>523.59502556867301</v>
      </c>
      <c r="D23" s="2" t="s">
        <v>13</v>
      </c>
    </row>
    <row r="25" spans="2:4" x14ac:dyDescent="0.3">
      <c r="B25" t="s">
        <v>3</v>
      </c>
      <c r="C25">
        <f>1153/10000</f>
        <v>0.1153</v>
      </c>
      <c r="D25" s="2" t="s">
        <v>18</v>
      </c>
    </row>
    <row r="27" spans="2:4" x14ac:dyDescent="0.3">
      <c r="B27" t="s">
        <v>0</v>
      </c>
      <c r="C27">
        <f>2.78*C8*C23*C25/1000</f>
        <v>0.15943850752934755</v>
      </c>
      <c r="D27" s="2" t="s">
        <v>14</v>
      </c>
    </row>
    <row r="29" spans="2:4" ht="13.8" customHeight="1" x14ac:dyDescent="0.3">
      <c r="B29" t="s">
        <v>15</v>
      </c>
      <c r="C29">
        <v>1.4999999999999999E-2</v>
      </c>
    </row>
    <row r="30" spans="2:4" ht="13.8" customHeight="1" x14ac:dyDescent="0.3">
      <c r="B30" t="s">
        <v>5</v>
      </c>
      <c r="C30" s="1">
        <v>0.02</v>
      </c>
    </row>
    <row r="32" spans="2:4" x14ac:dyDescent="0.3">
      <c r="C32">
        <f>1.548*(C29*C27/(C30^0.5))^(1^(3/8))</f>
        <v>2.6178239576624518E-2</v>
      </c>
    </row>
    <row r="33" spans="2:4" x14ac:dyDescent="0.3">
      <c r="D33"/>
    </row>
    <row r="34" spans="2:4" x14ac:dyDescent="0.3">
      <c r="B34" t="s">
        <v>16</v>
      </c>
      <c r="C34">
        <f>1.548*(C29*C27/(C30^0.5))^((3/8))</f>
        <v>0.33522354306913116</v>
      </c>
      <c r="D34" s="2" t="s">
        <v>8</v>
      </c>
    </row>
    <row r="35" spans="2:4" x14ac:dyDescent="0.3">
      <c r="B35" t="s">
        <v>16</v>
      </c>
      <c r="C35">
        <f>+C34*39.3701</f>
        <v>13.197784412986001</v>
      </c>
      <c r="D35" s="2" t="s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18</vt:i4>
      </vt:variant>
    </vt:vector>
  </HeadingPairs>
  <TitlesOfParts>
    <vt:vector size="25" baseType="lpstr">
      <vt:lpstr>Bajantes</vt:lpstr>
      <vt:lpstr>Col</vt:lpstr>
      <vt:lpstr>Colectores</vt:lpstr>
      <vt:lpstr>Car</vt:lpstr>
      <vt:lpstr>Carcamo</vt:lpstr>
      <vt:lpstr>C P</vt:lpstr>
      <vt:lpstr>C Principal</vt:lpstr>
      <vt:lpstr>'C P'!_Hlk182653042</vt:lpstr>
      <vt:lpstr>'C Principal'!_Hlk182653042</vt:lpstr>
      <vt:lpstr>Car!_Hlk182653042</vt:lpstr>
      <vt:lpstr>Carcamo!_Hlk182653042</vt:lpstr>
      <vt:lpstr>Col!_Hlk182653042</vt:lpstr>
      <vt:lpstr>Colectores!_Hlk182653042</vt:lpstr>
      <vt:lpstr>'C P'!_Hlk182653738</vt:lpstr>
      <vt:lpstr>'C Principal'!_Hlk182653738</vt:lpstr>
      <vt:lpstr>Car!_Hlk182653738</vt:lpstr>
      <vt:lpstr>Carcamo!_Hlk182653738</vt:lpstr>
      <vt:lpstr>Col!_Hlk182653738</vt:lpstr>
      <vt:lpstr>Colectores!_Hlk182653738</vt:lpstr>
      <vt:lpstr>'C P'!_Hlk182654151</vt:lpstr>
      <vt:lpstr>'C Principal'!_Hlk182654151</vt:lpstr>
      <vt:lpstr>Car!_Hlk182654151</vt:lpstr>
      <vt:lpstr>Carcamo!_Hlk182654151</vt:lpstr>
      <vt:lpstr>Col!_Hlk182654151</vt:lpstr>
      <vt:lpstr>Colectores!_Hlk182654151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C.S.</dc:creator>
  <cp:lastModifiedBy>Daniel  Carmona Sierra</cp:lastModifiedBy>
  <dcterms:created xsi:type="dcterms:W3CDTF">2015-06-05T18:19:34Z</dcterms:created>
  <dcterms:modified xsi:type="dcterms:W3CDTF">2025-07-01T16:12:25Z</dcterms:modified>
</cp:coreProperties>
</file>